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65" tabRatio="516" activeTab="1"/>
  </bookViews>
  <sheets>
    <sheet name="DATOS" sheetId="1" r:id="rId1"/>
    <sheet name="FORMULA#1" sheetId="2" r:id="rId2"/>
  </sheets>
  <definedNames>
    <definedName name="datos">'DATOS'!$A$7:$C$26</definedName>
    <definedName name="PRESUPUESTO">'DATOS'!$A$4:$C$4</definedName>
  </definedNames>
  <calcPr fullCalcOnLoad="1"/>
</workbook>
</file>

<file path=xl/comments1.xml><?xml version="1.0" encoding="utf-8"?>
<comments xmlns="http://schemas.openxmlformats.org/spreadsheetml/2006/main">
  <authors>
    <author>NIKANDRO</author>
  </authors>
  <commentList>
    <comment ref="A3" authorId="0">
      <text>
        <r>
          <rPr>
            <b/>
            <sz val="9"/>
            <rFont val="Tahoma"/>
            <family val="2"/>
          </rPr>
          <t>CONVENIO 3203:</t>
        </r>
        <r>
          <rPr>
            <sz val="9"/>
            <rFont val="Tahoma"/>
            <family val="2"/>
          </rPr>
          <t xml:space="preserve">
Favor colocar en las celdas donde no hayan proponentes cero (0)</t>
        </r>
      </text>
    </comment>
  </commentList>
</comments>
</file>

<file path=xl/sharedStrings.xml><?xml version="1.0" encoding="utf-8"?>
<sst xmlns="http://schemas.openxmlformats.org/spreadsheetml/2006/main" count="80" uniqueCount="60">
  <si>
    <t>PROPONENTES</t>
  </si>
  <si>
    <t>PRESUPUESTO OFICIAL</t>
  </si>
  <si>
    <t>RANGO ADMISIBLE</t>
  </si>
  <si>
    <t>SI</t>
  </si>
  <si>
    <t>NO</t>
  </si>
  <si>
    <t>EVALUACIÓN</t>
  </si>
  <si>
    <t>Factor Multiplicador y correcto diligenciamiento del formulario</t>
  </si>
  <si>
    <t>Valor en el rango admisible</t>
  </si>
  <si>
    <t>ADMISIBLE PARA LA EVALUACIÓN</t>
  </si>
  <si>
    <t>RANGO DE ELEGIBILIDAD (RE)</t>
  </si>
  <si>
    <t>VALOR BASICO DE LA PROPUESTA</t>
  </si>
  <si>
    <t>VALOR BÁSICO ADMISIBLE</t>
  </si>
  <si>
    <t>NUMERO DE PROPONENTES</t>
  </si>
  <si>
    <t>VALOR PROMEDIO 1</t>
  </si>
  <si>
    <t>VRP 1-2%</t>
  </si>
  <si>
    <t>VRP 1+2%</t>
  </si>
  <si>
    <t>PROPUESTAS ELEGIDAS POR EL VRP 1</t>
  </si>
  <si>
    <t>VALOR PROMEDIO 2</t>
  </si>
  <si>
    <t>VR. PRESUPUESTO OFICIAL (VPO)</t>
  </si>
  <si>
    <t>VR. PROMEDIO 1 (VRP1)</t>
  </si>
  <si>
    <t>VR. PROMEDIO 2 (VRP2)</t>
  </si>
  <si>
    <t>Propuesta hábil más baja  dentro RE ( PMVR0)</t>
  </si>
  <si>
    <t xml:space="preserve">VALOR PROMEDIO FINAL </t>
  </si>
  <si>
    <t>FORMULA #1 VALOR PROMEDIO</t>
  </si>
  <si>
    <t>NUMERO DE PROPONENTES ADMISIBLES</t>
  </si>
  <si>
    <t>PNVRO</t>
  </si>
  <si>
    <t>PMVRO</t>
  </si>
  <si>
    <t>DISCREPANCIA FINAL</t>
  </si>
  <si>
    <t>UNIVERSIDAD DEL CAUCA</t>
  </si>
  <si>
    <t>No.</t>
  </si>
  <si>
    <t>COMENTARIO IMPORTANTE</t>
  </si>
  <si>
    <t>Propuesta hábil más alta  dentro RE ( PNVR0)</t>
  </si>
  <si>
    <t>CRITERIO PNVR0 Y PMVR0</t>
  </si>
  <si>
    <t>PROGRAMADORES_</t>
  </si>
  <si>
    <t>JUAN PABLO MELO ORTIZ</t>
  </si>
  <si>
    <t>NIKANDRO MUÑOZ</t>
  </si>
  <si>
    <t>PRESUPUESTO OFICIAL ANTES DE IVA</t>
  </si>
  <si>
    <t>HUGO ANDRES RIVERA ORDOÑEZ</t>
  </si>
  <si>
    <t>FERNANDO CHILITO GARCIA</t>
  </si>
  <si>
    <t>JUAN CARLOS FOLLECO</t>
  </si>
  <si>
    <t>JUAN CARLOS VALENCIA</t>
  </si>
  <si>
    <t>RUBEN ARISTIZABAL</t>
  </si>
  <si>
    <t>IRLANDA MRICEL VERGARA</t>
  </si>
  <si>
    <t>LUIS VALLEJO OCAMPO</t>
  </si>
  <si>
    <t>JUAN CARLOS COLLAZOS</t>
  </si>
  <si>
    <t>FIDEL MOSQUERA</t>
  </si>
  <si>
    <t>FRANCISCO CESAR FRANKLY</t>
  </si>
  <si>
    <t>JESUS HERNAN ZAMBRANO</t>
  </si>
  <si>
    <t>HELIO LOMBANA</t>
  </si>
  <si>
    <t>HENRY ARCE ARAGON</t>
  </si>
  <si>
    <t>CONSORCIO GENOVA</t>
  </si>
  <si>
    <t>VIRGILIO GALVIS</t>
  </si>
  <si>
    <t>DIEGO REINEL FERNANDEZ</t>
  </si>
  <si>
    <t>VICERRECTORIA ADMINISTRATIVA</t>
  </si>
  <si>
    <t>APLICACIÓN DE LA FORMULA No.  1</t>
  </si>
  <si>
    <t>Popayán, noviembre 22 de 2010</t>
  </si>
  <si>
    <t>No. GANADOR</t>
  </si>
  <si>
    <r>
      <t xml:space="preserve">INVITACIÓN A COTIZAR  </t>
    </r>
    <r>
      <rPr>
        <b/>
        <sz val="9"/>
        <rFont val="Tahoma"/>
        <family val="2"/>
      </rPr>
      <t>No. 057</t>
    </r>
    <r>
      <rPr>
        <b/>
        <sz val="9"/>
        <color indexed="8"/>
        <rFont val="Tahoma"/>
        <family val="2"/>
      </rPr>
      <t xml:space="preserve"> DE  2010</t>
    </r>
  </si>
  <si>
    <t>OBRAS DE CERRAMIENTO PERIMETRAL - CASETA DE VIGILANCIA - VIAS Y PARQUEADEROS DEL BIOTERIO SECTOR TULCAN Y REUBICACION DE MALLA EN PARQUEADERO</t>
  </si>
  <si>
    <t>DEL EDIFICIO DE INGENIERIAS Y LABORATORIOS DE LA UNIVERSIDAD DEL CAUCA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</si>
</sst>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_(* #,##0_);_(* \(#,##0\);_(* &quot;-&quot;??_);_(@_)"/>
    <numFmt numFmtId="182" formatCode="[$$-500A]#,##0.00"/>
    <numFmt numFmtId="183" formatCode="[$$-500A]\ #,##0.00"/>
    <numFmt numFmtId="184" formatCode="[$$-240A]\ #,##0.000"/>
    <numFmt numFmtId="185" formatCode="0.0000"/>
    <numFmt numFmtId="186" formatCode="_(* #,##0.000_);_(* \(#,##0.000\);_(* &quot;-&quot;??_);_(@_)"/>
    <numFmt numFmtId="187" formatCode="_(* #,##0.0_);_(* \(#,##0.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_(* #,##0.000000000000_);_(* \(#,##0.000000000000\);_(* &quot;-&quot;??_);_(@_)"/>
    <numFmt numFmtId="197" formatCode="_(* #,##0.0000000000000_);_(* \(#,##0.0000000000000\);_(* &quot;-&quot;??_);_(@_)"/>
    <numFmt numFmtId="198" formatCode="_(* #,##0.00000000000000_);_(* \(#,##0.00000000000000\);_(* &quot;-&quot;??_);_(@_)"/>
    <numFmt numFmtId="199" formatCode="0.000000"/>
    <numFmt numFmtId="200" formatCode="0.00000"/>
    <numFmt numFmtId="201" formatCode="[$$-240A]\ #.##0.000"/>
    <numFmt numFmtId="202" formatCode="0.0"/>
    <numFmt numFmtId="203" formatCode="[$$-240A]\ #,##0.0000"/>
    <numFmt numFmtId="204" formatCode="[$$-240A]\ 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lgerian"/>
      <family val="5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Informal Roman"/>
      <family val="4"/>
    </font>
    <font>
      <sz val="8"/>
      <name val="Calibri"/>
      <family val="2"/>
    </font>
    <font>
      <b/>
      <sz val="10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80" fontId="0" fillId="36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4" borderId="11" xfId="0" applyFill="1" applyBorder="1" applyAlignment="1">
      <alignment horizontal="center" vertical="center" wrapText="1"/>
    </xf>
    <xf numFmtId="184" fontId="0" fillId="0" borderId="0" xfId="0" applyNumberFormat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0" xfId="0" applyBorder="1" applyAlignment="1">
      <alignment/>
    </xf>
    <xf numFmtId="184" fontId="0" fillId="0" borderId="10" xfId="0" applyNumberFormat="1" applyFill="1" applyBorder="1" applyAlignment="1">
      <alignment horizontal="right"/>
    </xf>
    <xf numFmtId="184" fontId="9" fillId="33" borderId="10" xfId="0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/>
    </xf>
    <xf numFmtId="3" fontId="0" fillId="39" borderId="10" xfId="0" applyNumberFormat="1" applyFill="1" applyBorder="1" applyAlignment="1">
      <alignment/>
    </xf>
    <xf numFmtId="180" fontId="0" fillId="39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204" fontId="0" fillId="33" borderId="10" xfId="0" applyNumberForma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184" fontId="0" fillId="0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36" borderId="10" xfId="0" applyNumberFormat="1" applyFill="1" applyBorder="1" applyAlignment="1">
      <alignment/>
    </xf>
    <xf numFmtId="180" fontId="0" fillId="36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80" fontId="0" fillId="35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80" fontId="15" fillId="40" borderId="10" xfId="0" applyNumberFormat="1" applyFont="1" applyFill="1" applyBorder="1" applyAlignment="1">
      <alignment/>
    </xf>
    <xf numFmtId="0" fontId="0" fillId="39" borderId="10" xfId="0" applyFill="1" applyBorder="1" applyAlignment="1">
      <alignment horizontal="left"/>
    </xf>
    <xf numFmtId="0" fontId="0" fillId="39" borderId="10" xfId="0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/>
    </xf>
    <xf numFmtId="0" fontId="0" fillId="39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Fill="1" applyBorder="1" applyAlignment="1">
      <alignment horizontal="left"/>
    </xf>
    <xf numFmtId="184" fontId="5" fillId="0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80" fontId="5" fillId="3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39" borderId="10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10" fillId="34" borderId="10" xfId="0" applyFont="1" applyFill="1" applyBorder="1" applyAlignment="1">
      <alignment horizontal="left"/>
    </xf>
    <xf numFmtId="0" fontId="0" fillId="39" borderId="1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35" borderId="13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left"/>
    </xf>
    <xf numFmtId="0" fontId="8" fillId="39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39" borderId="20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0" fillId="39" borderId="22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76200</xdr:rowOff>
    </xdr:from>
    <xdr:to>
      <xdr:col>5</xdr:col>
      <xdr:colOff>1790700</xdr:colOff>
      <xdr:row>16</xdr:row>
      <xdr:rowOff>171450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23900"/>
          <a:ext cx="27813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3" sqref="B23"/>
    </sheetView>
  </sheetViews>
  <sheetFormatPr defaultColWidth="11.421875" defaultRowHeight="15"/>
  <cols>
    <col min="1" max="1" width="7.7109375" style="0" customWidth="1"/>
    <col min="2" max="2" width="37.140625" style="0" customWidth="1"/>
    <col min="3" max="3" width="19.421875" style="0" customWidth="1"/>
    <col min="4" max="4" width="6.8515625" style="0" customWidth="1"/>
    <col min="5" max="5" width="16.140625" style="0" customWidth="1"/>
    <col min="6" max="6" width="28.00390625" style="0" customWidth="1"/>
  </cols>
  <sheetData>
    <row r="1" spans="1:6" ht="36" customHeight="1">
      <c r="A1" s="63" t="s">
        <v>28</v>
      </c>
      <c r="B1" s="64"/>
      <c r="C1" s="64"/>
      <c r="D1" s="64"/>
      <c r="E1" s="64"/>
      <c r="F1" s="65"/>
    </row>
    <row r="3" spans="1:6" ht="24" customHeight="1">
      <c r="A3" s="66" t="s">
        <v>30</v>
      </c>
      <c r="B3" s="66"/>
      <c r="E3" s="67"/>
      <c r="F3" s="67"/>
    </row>
    <row r="4" spans="1:6" ht="25.5" customHeight="1">
      <c r="A4" s="4">
        <v>1</v>
      </c>
      <c r="B4" s="4" t="s">
        <v>36</v>
      </c>
      <c r="C4" s="30">
        <v>120485704</v>
      </c>
      <c r="E4" s="67"/>
      <c r="F4" s="67"/>
    </row>
    <row r="5" spans="5:6" ht="15">
      <c r="E5" s="67"/>
      <c r="F5" s="67"/>
    </row>
    <row r="6" spans="1:6" ht="45">
      <c r="A6" s="4" t="s">
        <v>29</v>
      </c>
      <c r="B6" s="4" t="s">
        <v>0</v>
      </c>
      <c r="C6" s="18" t="s">
        <v>10</v>
      </c>
      <c r="E6" s="67"/>
      <c r="F6" s="67"/>
    </row>
    <row r="7" spans="1:6" ht="15">
      <c r="A7" s="17">
        <v>1</v>
      </c>
      <c r="B7" s="25" t="s">
        <v>37</v>
      </c>
      <c r="C7" s="24">
        <v>119816231</v>
      </c>
      <c r="E7" s="67"/>
      <c r="F7" s="67"/>
    </row>
    <row r="8" spans="1:6" ht="15">
      <c r="A8" s="17">
        <v>2</v>
      </c>
      <c r="B8" s="25" t="s">
        <v>38</v>
      </c>
      <c r="C8" s="24">
        <v>118984188</v>
      </c>
      <c r="E8" s="67"/>
      <c r="F8" s="67"/>
    </row>
    <row r="9" spans="1:6" ht="15">
      <c r="A9" s="17">
        <v>3</v>
      </c>
      <c r="B9" s="25" t="s">
        <v>39</v>
      </c>
      <c r="C9" s="24">
        <v>119612359</v>
      </c>
      <c r="E9" s="67"/>
      <c r="F9" s="67"/>
    </row>
    <row r="10" spans="1:6" ht="15">
      <c r="A10" s="17">
        <v>4</v>
      </c>
      <c r="B10" s="25" t="s">
        <v>40</v>
      </c>
      <c r="C10" s="24">
        <v>118938519</v>
      </c>
      <c r="E10" s="67"/>
      <c r="F10" s="67"/>
    </row>
    <row r="11" spans="1:6" ht="15">
      <c r="A11" s="17">
        <v>5</v>
      </c>
      <c r="B11" s="25" t="s">
        <v>41</v>
      </c>
      <c r="C11" s="24">
        <v>119742279</v>
      </c>
      <c r="E11" s="67"/>
      <c r="F11" s="67"/>
    </row>
    <row r="12" spans="1:6" ht="15">
      <c r="A12" s="17">
        <v>6</v>
      </c>
      <c r="B12" s="25" t="s">
        <v>42</v>
      </c>
      <c r="C12" s="24">
        <v>118980641</v>
      </c>
      <c r="E12" s="67"/>
      <c r="F12" s="67"/>
    </row>
    <row r="13" spans="1:6" ht="15">
      <c r="A13" s="17">
        <v>7</v>
      </c>
      <c r="B13" s="25" t="s">
        <v>43</v>
      </c>
      <c r="C13" s="24">
        <v>119880000</v>
      </c>
      <c r="E13" s="67"/>
      <c r="F13" s="67"/>
    </row>
    <row r="14" spans="1:6" ht="15">
      <c r="A14" s="17">
        <v>8</v>
      </c>
      <c r="B14" s="25" t="s">
        <v>44</v>
      </c>
      <c r="C14" s="24">
        <v>119985183</v>
      </c>
      <c r="E14" s="67"/>
      <c r="F14" s="67"/>
    </row>
    <row r="15" spans="1:6" ht="15">
      <c r="A15" s="17">
        <v>9</v>
      </c>
      <c r="B15" s="25" t="s">
        <v>45</v>
      </c>
      <c r="C15" s="24">
        <v>119273818</v>
      </c>
      <c r="E15" s="67"/>
      <c r="F15" s="67"/>
    </row>
    <row r="16" spans="1:6" ht="15">
      <c r="A16" s="17">
        <v>10</v>
      </c>
      <c r="B16" s="25" t="s">
        <v>46</v>
      </c>
      <c r="C16" s="24">
        <v>119456024</v>
      </c>
      <c r="E16" s="67"/>
      <c r="F16" s="67"/>
    </row>
    <row r="17" spans="1:6" ht="15">
      <c r="A17" s="17">
        <v>11</v>
      </c>
      <c r="B17" s="25" t="s">
        <v>47</v>
      </c>
      <c r="C17" s="24">
        <v>119935944</v>
      </c>
      <c r="E17" s="67"/>
      <c r="F17" s="67"/>
    </row>
    <row r="18" spans="1:3" ht="15">
      <c r="A18" s="17">
        <v>12</v>
      </c>
      <c r="B18" s="25" t="s">
        <v>48</v>
      </c>
      <c r="C18" s="24">
        <v>120064715</v>
      </c>
    </row>
    <row r="19" spans="1:6" ht="16.5">
      <c r="A19" s="17">
        <v>13</v>
      </c>
      <c r="B19" s="25" t="s">
        <v>49</v>
      </c>
      <c r="C19" s="24">
        <v>119425107</v>
      </c>
      <c r="E19" s="68" t="s">
        <v>33</v>
      </c>
      <c r="F19" s="68"/>
    </row>
    <row r="20" spans="1:6" ht="15">
      <c r="A20" s="17">
        <v>14</v>
      </c>
      <c r="B20" s="25" t="s">
        <v>50</v>
      </c>
      <c r="C20" s="24">
        <v>119414988</v>
      </c>
      <c r="E20" s="62" t="s">
        <v>34</v>
      </c>
      <c r="F20" s="62"/>
    </row>
    <row r="21" spans="1:6" ht="15">
      <c r="A21" s="17">
        <v>15</v>
      </c>
      <c r="B21" s="25" t="s">
        <v>51</v>
      </c>
      <c r="C21" s="24">
        <v>119384464</v>
      </c>
      <c r="E21" s="62"/>
      <c r="F21" s="62"/>
    </row>
    <row r="22" spans="1:6" ht="15">
      <c r="A22" s="17">
        <v>16</v>
      </c>
      <c r="B22" s="28" t="s">
        <v>52</v>
      </c>
      <c r="C22" s="24">
        <v>120064716</v>
      </c>
      <c r="E22" s="62" t="s">
        <v>35</v>
      </c>
      <c r="F22" s="62"/>
    </row>
    <row r="23" spans="1:6" ht="15">
      <c r="A23" s="17">
        <v>17</v>
      </c>
      <c r="B23" s="28">
        <v>0</v>
      </c>
      <c r="C23" s="24">
        <v>0</v>
      </c>
      <c r="E23" s="62"/>
      <c r="F23" s="62"/>
    </row>
    <row r="24" spans="1:6" ht="15">
      <c r="A24" s="17">
        <v>18</v>
      </c>
      <c r="B24" s="29">
        <v>0</v>
      </c>
      <c r="C24" s="24">
        <v>0</v>
      </c>
      <c r="E24" s="9"/>
      <c r="F24" s="9"/>
    </row>
    <row r="25" spans="1:6" ht="15">
      <c r="A25" s="17">
        <v>19</v>
      </c>
      <c r="B25" s="29">
        <v>0</v>
      </c>
      <c r="C25" s="24">
        <v>0</v>
      </c>
      <c r="E25" s="9"/>
      <c r="F25" s="9"/>
    </row>
    <row r="26" spans="1:3" ht="15">
      <c r="A26" s="17">
        <v>20</v>
      </c>
      <c r="B26" s="29">
        <v>0</v>
      </c>
      <c r="C26" s="24">
        <v>0</v>
      </c>
    </row>
  </sheetData>
  <sheetProtection/>
  <mergeCells count="6">
    <mergeCell ref="E20:F21"/>
    <mergeCell ref="E22:F23"/>
    <mergeCell ref="A1:F1"/>
    <mergeCell ref="A3:B3"/>
    <mergeCell ref="E3:F17"/>
    <mergeCell ref="E19:F1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7"/>
  <sheetViews>
    <sheetView tabSelected="1" zoomScalePageLayoutView="0" workbookViewId="0" topLeftCell="A1">
      <selection activeCell="P34" sqref="P34"/>
    </sheetView>
  </sheetViews>
  <sheetFormatPr defaultColWidth="11.421875" defaultRowHeight="15" outlineLevelCol="1"/>
  <cols>
    <col min="1" max="1" width="8.421875" style="0" customWidth="1"/>
    <col min="2" max="2" width="35.140625" style="0" customWidth="1"/>
    <col min="3" max="3" width="19.8515625" style="0" customWidth="1"/>
    <col min="4" max="4" width="23.140625" style="0" customWidth="1"/>
    <col min="5" max="5" width="15.28125" style="0" customWidth="1"/>
    <col min="6" max="6" width="17.140625" style="0" customWidth="1"/>
    <col min="7" max="7" width="16.57421875" style="0" hidden="1" customWidth="1" outlineLevel="1"/>
    <col min="8" max="9" width="14.00390625" style="0" hidden="1" customWidth="1" outlineLevel="1"/>
    <col min="10" max="10" width="13.28125" style="0" hidden="1" customWidth="1" outlineLevel="1"/>
    <col min="11" max="12" width="14.8515625" style="0" hidden="1" customWidth="1" outlineLevel="1"/>
    <col min="13" max="13" width="15.28125" style="0" hidden="1" customWidth="1" outlineLevel="1"/>
    <col min="14" max="14" width="14.8515625" style="0" hidden="1" customWidth="1" outlineLevel="1"/>
    <col min="15" max="15" width="16.421875" style="0" hidden="1" customWidth="1" outlineLevel="1"/>
    <col min="16" max="16" width="19.28125" style="0" customWidth="1" collapsed="1"/>
    <col min="17" max="17" width="12.7109375" style="0" customWidth="1"/>
    <col min="18" max="18" width="14.7109375" style="0" hidden="1" customWidth="1" outlineLevel="1"/>
    <col min="19" max="19" width="14.57421875" style="0" hidden="1" customWidth="1" outlineLevel="1"/>
    <col min="20" max="20" width="13.57421875" style="0" hidden="1" customWidth="1" outlineLevel="1"/>
    <col min="21" max="21" width="13.28125" style="0" hidden="1" customWidth="1" outlineLevel="1"/>
    <col min="22" max="22" width="2.7109375" style="0" customWidth="1" collapsed="1"/>
    <col min="23" max="25" width="2.7109375" style="0" customWidth="1"/>
  </cols>
  <sheetData>
    <row r="1" spans="1:25" ht="15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15">
      <c r="A2" s="76" t="s">
        <v>53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5">
      <c r="A3" s="77" t="s">
        <v>57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5">
      <c r="A4" s="75" t="s">
        <v>58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5">
      <c r="A5" s="75" t="s">
        <v>59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19" ht="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1:25" ht="15.75">
      <c r="A7" s="78" t="s">
        <v>54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6:25" ht="15">
      <c r="P8" s="70" t="s">
        <v>55</v>
      </c>
      <c r="Q8" s="70"/>
      <c r="R8" s="70"/>
      <c r="S8" s="70"/>
      <c r="T8" s="70"/>
      <c r="U8" s="70"/>
      <c r="V8" s="70"/>
      <c r="W8" s="70"/>
      <c r="X8" s="70"/>
      <c r="Y8" s="70"/>
    </row>
    <row r="9" spans="1:17" ht="33.75" customHeight="1">
      <c r="A9" s="32"/>
      <c r="B9" s="71" t="s">
        <v>23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1:4" ht="25.5" customHeight="1">
      <c r="A10" s="20">
        <v>1</v>
      </c>
      <c r="B10" s="15" t="s">
        <v>1</v>
      </c>
      <c r="C10" s="33">
        <f>VLOOKUP(A10,PRESUPUESTO,3)</f>
        <v>120485704</v>
      </c>
      <c r="D10" s="19"/>
    </row>
    <row r="11" spans="1:4" ht="27.75" customHeight="1">
      <c r="A11" s="20"/>
      <c r="B11" s="5" t="s">
        <v>2</v>
      </c>
      <c r="C11" s="34">
        <f>C10*0.95</f>
        <v>114461418.8</v>
      </c>
      <c r="D11" s="34">
        <f>C10</f>
        <v>120485704</v>
      </c>
    </row>
    <row r="12" spans="11:12" ht="15">
      <c r="K12" s="70" t="s">
        <v>9</v>
      </c>
      <c r="L12" s="70"/>
    </row>
    <row r="13" spans="1:25" ht="45">
      <c r="A13" s="16" t="s">
        <v>29</v>
      </c>
      <c r="B13" s="31" t="s">
        <v>0</v>
      </c>
      <c r="C13" s="45" t="s">
        <v>10</v>
      </c>
      <c r="D13" s="46" t="s">
        <v>6</v>
      </c>
      <c r="E13" s="47" t="s">
        <v>7</v>
      </c>
      <c r="F13" s="48" t="s">
        <v>8</v>
      </c>
      <c r="G13" s="49" t="s">
        <v>11</v>
      </c>
      <c r="H13" s="49" t="s">
        <v>12</v>
      </c>
      <c r="I13" s="49" t="s">
        <v>24</v>
      </c>
      <c r="J13" s="49" t="s">
        <v>13</v>
      </c>
      <c r="K13" s="50" t="s">
        <v>14</v>
      </c>
      <c r="L13" s="50" t="s">
        <v>15</v>
      </c>
      <c r="M13" s="49" t="s">
        <v>16</v>
      </c>
      <c r="N13" s="49" t="s">
        <v>17</v>
      </c>
      <c r="O13" s="49" t="s">
        <v>32</v>
      </c>
      <c r="P13" s="49" t="s">
        <v>27</v>
      </c>
      <c r="Q13" s="49" t="s">
        <v>5</v>
      </c>
      <c r="R13" s="51"/>
      <c r="S13" s="51"/>
      <c r="T13" s="51"/>
      <c r="U13" s="51"/>
      <c r="V13" s="79" t="s">
        <v>56</v>
      </c>
      <c r="W13" s="80"/>
      <c r="X13" s="80"/>
      <c r="Y13" s="81"/>
    </row>
    <row r="14" spans="1:25" ht="15">
      <c r="A14" s="17">
        <v>1</v>
      </c>
      <c r="B14" s="21" t="str">
        <f aca="true" t="shared" si="0" ref="B14:B29">VLOOKUP(A14,datos,2)</f>
        <v>HUGO ANDRES RIVERA ORDOÑEZ</v>
      </c>
      <c r="C14" s="23">
        <f aca="true" t="shared" si="1" ref="C14:C29">VLOOKUP(A14,datos,3)</f>
        <v>119816231</v>
      </c>
      <c r="D14" s="3" t="s">
        <v>3</v>
      </c>
      <c r="E14" s="35" t="str">
        <f>IF(C14&lt;$C$11,"NO",IF(C14&gt;$D$11,"NO","SI"))</f>
        <v>SI</v>
      </c>
      <c r="F14" s="35" t="str">
        <f>IF(AND(D14="SI",E14="SI"),"SI","NO")</f>
        <v>SI</v>
      </c>
      <c r="G14" s="36">
        <f>IF(F14="SI",C14,1)</f>
        <v>119816231</v>
      </c>
      <c r="H14" s="35">
        <f>IF(D33=0,20,20-D33)</f>
        <v>20</v>
      </c>
      <c r="I14" s="35">
        <f>COUNTIF(G14:G29,"&gt;1")</f>
        <v>16</v>
      </c>
      <c r="J14" s="36">
        <f>(SUMIF(G14:G29,"&gt;1"))/$I$14</f>
        <v>119559948.5</v>
      </c>
      <c r="K14" s="37">
        <f>J14*0.98</f>
        <v>117168749.53</v>
      </c>
      <c r="L14" s="37">
        <f>J14*1.02</f>
        <v>121951147.47</v>
      </c>
      <c r="M14" s="38">
        <f aca="true" t="shared" si="2" ref="M14:M29">IF(G14&lt;$K$14,1,IF(G14&gt;$L$14,1,G14))</f>
        <v>119816231</v>
      </c>
      <c r="N14" s="35">
        <f>(SUMIF(M14:M29,"&gt;1"))/$M$30</f>
        <v>119559948.5</v>
      </c>
      <c r="O14" s="35" t="str">
        <f>IF(M14&lt;$K$14,"P",IF(M14&gt;$J$14,"P",M14))</f>
        <v>P</v>
      </c>
      <c r="P14" s="36">
        <f aca="true" t="shared" si="3" ref="P14:P29">IF(M14&gt;1,ABS(M14-$D$41),"N")</f>
        <v>217242.12205331028</v>
      </c>
      <c r="Q14" s="35">
        <f aca="true" t="shared" si="4" ref="Q14:Q29">IF(P14=$P$30,"GANADOR","")</f>
      </c>
      <c r="R14" s="35">
        <f aca="true" t="shared" si="5" ref="R14:R29">IF(P14&lt;&gt;$P$30,P14,"N")</f>
        <v>217242.12205331028</v>
      </c>
      <c r="S14" s="35">
        <f aca="true" t="shared" si="6" ref="S14:S29">IF(R14&lt;&gt;$R$30,R14,"N")</f>
        <v>217242.12205331028</v>
      </c>
      <c r="T14" s="35">
        <f aca="true" t="shared" si="7" ref="T14:T29">IF(S14&lt;&gt;$S$30,S14,"N")</f>
        <v>217242.12205331028</v>
      </c>
      <c r="U14" s="35">
        <f aca="true" t="shared" si="8" ref="U14:U29">IF(T14&lt;&gt;$T$30,T14,"N")</f>
        <v>217242.12205331028</v>
      </c>
      <c r="V14" s="39">
        <f aca="true" t="shared" si="9" ref="V14:V29">IF(R14=$R$30,"2º","")</f>
      </c>
      <c r="W14" s="35">
        <f aca="true" t="shared" si="10" ref="W14:W29">IF(S14=$S$30,"3º","")</f>
      </c>
      <c r="X14" s="35">
        <f aca="true" t="shared" si="11" ref="X14:X29">IF(T14=$T$30,"4º","")</f>
      </c>
      <c r="Y14" s="35">
        <f aca="true" t="shared" si="12" ref="Y14:Y29">IF(U14=$U$30,"5º","")</f>
      </c>
    </row>
    <row r="15" spans="1:25" ht="15">
      <c r="A15" s="17">
        <v>2</v>
      </c>
      <c r="B15" s="21" t="str">
        <f t="shared" si="0"/>
        <v>FERNANDO CHILITO GARCIA</v>
      </c>
      <c r="C15" s="23">
        <f t="shared" si="1"/>
        <v>118984188</v>
      </c>
      <c r="D15" s="3" t="s">
        <v>3</v>
      </c>
      <c r="E15" s="35" t="str">
        <f aca="true" t="shared" si="13" ref="E15:E29">IF(C15&lt;$C$11,"NO",IF(C15&gt;$D$11,"NO","SI"))</f>
        <v>SI</v>
      </c>
      <c r="F15" s="35" t="str">
        <f aca="true" t="shared" si="14" ref="F15:F29">IF(AND(D15="SI",E15="SI"),"SI","NO")</f>
        <v>SI</v>
      </c>
      <c r="G15" s="36">
        <f aca="true" t="shared" si="15" ref="G15:G29">IF(F15="SI",C15,1)</f>
        <v>118984188</v>
      </c>
      <c r="H15" s="40"/>
      <c r="I15" s="40"/>
      <c r="J15" s="35"/>
      <c r="K15" s="40"/>
      <c r="L15" s="40"/>
      <c r="M15" s="38">
        <f t="shared" si="2"/>
        <v>118984188</v>
      </c>
      <c r="N15" s="40"/>
      <c r="O15" s="35">
        <f aca="true" t="shared" si="16" ref="O15:O29">IF(M15&lt;$K$14,"P",IF(M15&gt;$J$14,"P",M15))</f>
        <v>118984188</v>
      </c>
      <c r="P15" s="36">
        <f t="shared" si="3"/>
        <v>614800.8779466897</v>
      </c>
      <c r="Q15" s="35">
        <f t="shared" si="4"/>
      </c>
      <c r="R15" s="35">
        <f t="shared" si="5"/>
        <v>614800.8779466897</v>
      </c>
      <c r="S15" s="35">
        <f t="shared" si="6"/>
        <v>614800.8779466897</v>
      </c>
      <c r="T15" s="35">
        <f t="shared" si="7"/>
        <v>614800.8779466897</v>
      </c>
      <c r="U15" s="35">
        <f t="shared" si="8"/>
        <v>614800.8779466897</v>
      </c>
      <c r="V15" s="39">
        <f t="shared" si="9"/>
      </c>
      <c r="W15" s="35">
        <f t="shared" si="10"/>
      </c>
      <c r="X15" s="35">
        <f t="shared" si="11"/>
      </c>
      <c r="Y15" s="35">
        <f t="shared" si="12"/>
      </c>
    </row>
    <row r="16" spans="1:25" s="61" customFormat="1" ht="15">
      <c r="A16" s="52">
        <v>3</v>
      </c>
      <c r="B16" s="53" t="str">
        <f t="shared" si="0"/>
        <v>JUAN CARLOS FOLLECO</v>
      </c>
      <c r="C16" s="54">
        <f>VLOOKUP(A16,datos,3)</f>
        <v>119612359</v>
      </c>
      <c r="D16" s="55" t="s">
        <v>3</v>
      </c>
      <c r="E16" s="56" t="str">
        <f t="shared" si="13"/>
        <v>SI</v>
      </c>
      <c r="F16" s="56" t="str">
        <f t="shared" si="14"/>
        <v>SI</v>
      </c>
      <c r="G16" s="57">
        <f t="shared" si="15"/>
        <v>119612359</v>
      </c>
      <c r="H16" s="58"/>
      <c r="I16" s="58"/>
      <c r="J16" s="56"/>
      <c r="K16" s="58"/>
      <c r="L16" s="58"/>
      <c r="M16" s="59">
        <f t="shared" si="2"/>
        <v>119612359</v>
      </c>
      <c r="N16" s="58"/>
      <c r="O16" s="56" t="str">
        <f t="shared" si="16"/>
        <v>P</v>
      </c>
      <c r="P16" s="57">
        <f t="shared" si="3"/>
        <v>13370.122053310275</v>
      </c>
      <c r="Q16" s="56" t="str">
        <f t="shared" si="4"/>
        <v>GANADOR</v>
      </c>
      <c r="R16" s="56" t="str">
        <f t="shared" si="5"/>
        <v>N</v>
      </c>
      <c r="S16" s="56" t="str">
        <f t="shared" si="6"/>
        <v>N</v>
      </c>
      <c r="T16" s="56" t="str">
        <f t="shared" si="7"/>
        <v>N</v>
      </c>
      <c r="U16" s="56" t="str">
        <f t="shared" si="8"/>
        <v>N</v>
      </c>
      <c r="V16" s="60">
        <f t="shared" si="9"/>
      </c>
      <c r="W16" s="56">
        <f t="shared" si="10"/>
      </c>
      <c r="X16" s="56">
        <f t="shared" si="11"/>
      </c>
      <c r="Y16" s="56">
        <f t="shared" si="12"/>
      </c>
    </row>
    <row r="17" spans="1:25" ht="15">
      <c r="A17" s="17">
        <v>4</v>
      </c>
      <c r="B17" s="21" t="str">
        <f t="shared" si="0"/>
        <v>JUAN CARLOS VALENCIA</v>
      </c>
      <c r="C17" s="23">
        <f t="shared" si="1"/>
        <v>118938519</v>
      </c>
      <c r="D17" s="3" t="s">
        <v>3</v>
      </c>
      <c r="E17" s="35" t="str">
        <f t="shared" si="13"/>
        <v>SI</v>
      </c>
      <c r="F17" s="35" t="str">
        <f t="shared" si="14"/>
        <v>SI</v>
      </c>
      <c r="G17" s="36">
        <f t="shared" si="15"/>
        <v>118938519</v>
      </c>
      <c r="H17" s="40"/>
      <c r="I17" s="40"/>
      <c r="J17" s="35"/>
      <c r="K17" s="40"/>
      <c r="L17" s="40"/>
      <c r="M17" s="38">
        <f t="shared" si="2"/>
        <v>118938519</v>
      </c>
      <c r="N17" s="40"/>
      <c r="O17" s="35">
        <f t="shared" si="16"/>
        <v>118938519</v>
      </c>
      <c r="P17" s="36">
        <f t="shared" si="3"/>
        <v>660469.8779466897</v>
      </c>
      <c r="Q17" s="35">
        <f t="shared" si="4"/>
      </c>
      <c r="R17" s="35">
        <f t="shared" si="5"/>
        <v>660469.8779466897</v>
      </c>
      <c r="S17" s="35">
        <f t="shared" si="6"/>
        <v>660469.8779466897</v>
      </c>
      <c r="T17" s="35">
        <f t="shared" si="7"/>
        <v>660469.8779466897</v>
      </c>
      <c r="U17" s="35">
        <f t="shared" si="8"/>
        <v>660469.8779466897</v>
      </c>
      <c r="V17" s="39">
        <f t="shared" si="9"/>
      </c>
      <c r="W17" s="35">
        <f t="shared" si="10"/>
      </c>
      <c r="X17" s="35">
        <f t="shared" si="11"/>
      </c>
      <c r="Y17" s="35">
        <f t="shared" si="12"/>
      </c>
    </row>
    <row r="18" spans="1:25" ht="15">
      <c r="A18" s="17">
        <v>5</v>
      </c>
      <c r="B18" s="21" t="str">
        <f t="shared" si="0"/>
        <v>RUBEN ARISTIZABAL</v>
      </c>
      <c r="C18" s="23">
        <f t="shared" si="1"/>
        <v>119742279</v>
      </c>
      <c r="D18" s="3" t="s">
        <v>3</v>
      </c>
      <c r="E18" s="35" t="str">
        <f t="shared" si="13"/>
        <v>SI</v>
      </c>
      <c r="F18" s="35" t="str">
        <f t="shared" si="14"/>
        <v>SI</v>
      </c>
      <c r="G18" s="36">
        <f t="shared" si="15"/>
        <v>119742279</v>
      </c>
      <c r="H18" s="40"/>
      <c r="I18" s="40"/>
      <c r="J18" s="35"/>
      <c r="K18" s="40"/>
      <c r="L18" s="40"/>
      <c r="M18" s="38">
        <f t="shared" si="2"/>
        <v>119742279</v>
      </c>
      <c r="N18" s="40"/>
      <c r="O18" s="35" t="str">
        <f t="shared" si="16"/>
        <v>P</v>
      </c>
      <c r="P18" s="36">
        <f t="shared" si="3"/>
        <v>143290.12205331028</v>
      </c>
      <c r="Q18" s="35">
        <f t="shared" si="4"/>
      </c>
      <c r="R18" s="35">
        <f t="shared" si="5"/>
        <v>143290.12205331028</v>
      </c>
      <c r="S18" s="35">
        <f t="shared" si="6"/>
        <v>143290.12205331028</v>
      </c>
      <c r="T18" s="35" t="str">
        <f t="shared" si="7"/>
        <v>N</v>
      </c>
      <c r="U18" s="35" t="str">
        <f t="shared" si="8"/>
        <v>N</v>
      </c>
      <c r="V18" s="39">
        <f t="shared" si="9"/>
      </c>
      <c r="W18" s="35" t="str">
        <f t="shared" si="10"/>
        <v>3º</v>
      </c>
      <c r="X18" s="35">
        <f t="shared" si="11"/>
      </c>
      <c r="Y18" s="35">
        <f t="shared" si="12"/>
      </c>
    </row>
    <row r="19" spans="1:25" ht="15">
      <c r="A19" s="17">
        <v>6</v>
      </c>
      <c r="B19" s="21" t="str">
        <f t="shared" si="0"/>
        <v>IRLANDA MRICEL VERGARA</v>
      </c>
      <c r="C19" s="23">
        <f t="shared" si="1"/>
        <v>118980641</v>
      </c>
      <c r="D19" s="3" t="s">
        <v>3</v>
      </c>
      <c r="E19" s="35" t="str">
        <f t="shared" si="13"/>
        <v>SI</v>
      </c>
      <c r="F19" s="35" t="str">
        <f t="shared" si="14"/>
        <v>SI</v>
      </c>
      <c r="G19" s="36">
        <f t="shared" si="15"/>
        <v>118980641</v>
      </c>
      <c r="H19" s="40"/>
      <c r="I19" s="40"/>
      <c r="J19" s="35"/>
      <c r="K19" s="40"/>
      <c r="L19" s="40"/>
      <c r="M19" s="38">
        <f t="shared" si="2"/>
        <v>118980641</v>
      </c>
      <c r="N19" s="40"/>
      <c r="O19" s="35">
        <f t="shared" si="16"/>
        <v>118980641</v>
      </c>
      <c r="P19" s="36">
        <f t="shared" si="3"/>
        <v>618347.8779466897</v>
      </c>
      <c r="Q19" s="35">
        <f t="shared" si="4"/>
      </c>
      <c r="R19" s="35">
        <f t="shared" si="5"/>
        <v>618347.8779466897</v>
      </c>
      <c r="S19" s="35">
        <f t="shared" si="6"/>
        <v>618347.8779466897</v>
      </c>
      <c r="T19" s="35">
        <f t="shared" si="7"/>
        <v>618347.8779466897</v>
      </c>
      <c r="U19" s="35">
        <f t="shared" si="8"/>
        <v>618347.8779466897</v>
      </c>
      <c r="V19" s="39">
        <f t="shared" si="9"/>
      </c>
      <c r="W19" s="35">
        <f t="shared" si="10"/>
      </c>
      <c r="X19" s="35">
        <f t="shared" si="11"/>
      </c>
      <c r="Y19" s="35">
        <f t="shared" si="12"/>
      </c>
    </row>
    <row r="20" spans="1:25" ht="15">
      <c r="A20" s="17">
        <v>7</v>
      </c>
      <c r="B20" s="21" t="str">
        <f t="shared" si="0"/>
        <v>LUIS VALLEJO OCAMPO</v>
      </c>
      <c r="C20" s="23">
        <f t="shared" si="1"/>
        <v>119880000</v>
      </c>
      <c r="D20" s="3" t="s">
        <v>3</v>
      </c>
      <c r="E20" s="35" t="str">
        <f t="shared" si="13"/>
        <v>SI</v>
      </c>
      <c r="F20" s="35" t="str">
        <f t="shared" si="14"/>
        <v>SI</v>
      </c>
      <c r="G20" s="36">
        <f t="shared" si="15"/>
        <v>119880000</v>
      </c>
      <c r="H20" s="40"/>
      <c r="I20" s="40"/>
      <c r="J20" s="35"/>
      <c r="K20" s="40"/>
      <c r="L20" s="40"/>
      <c r="M20" s="38">
        <f t="shared" si="2"/>
        <v>119880000</v>
      </c>
      <c r="N20" s="40"/>
      <c r="O20" s="35" t="str">
        <f t="shared" si="16"/>
        <v>P</v>
      </c>
      <c r="P20" s="36">
        <f t="shared" si="3"/>
        <v>281011.1220533103</v>
      </c>
      <c r="Q20" s="35">
        <f t="shared" si="4"/>
      </c>
      <c r="R20" s="35">
        <f t="shared" si="5"/>
        <v>281011.1220533103</v>
      </c>
      <c r="S20" s="35">
        <f t="shared" si="6"/>
        <v>281011.1220533103</v>
      </c>
      <c r="T20" s="35">
        <f t="shared" si="7"/>
        <v>281011.1220533103</v>
      </c>
      <c r="U20" s="35">
        <f t="shared" si="8"/>
        <v>281011.1220533103</v>
      </c>
      <c r="V20" s="39">
        <f t="shared" si="9"/>
      </c>
      <c r="W20" s="35">
        <f t="shared" si="10"/>
      </c>
      <c r="X20" s="35">
        <f t="shared" si="11"/>
      </c>
      <c r="Y20" s="35">
        <f t="shared" si="12"/>
      </c>
    </row>
    <row r="21" spans="1:25" ht="15">
      <c r="A21" s="17">
        <v>8</v>
      </c>
      <c r="B21" s="21" t="str">
        <f t="shared" si="0"/>
        <v>JUAN CARLOS COLLAZOS</v>
      </c>
      <c r="C21" s="23">
        <f t="shared" si="1"/>
        <v>119985183</v>
      </c>
      <c r="D21" s="3" t="s">
        <v>3</v>
      </c>
      <c r="E21" s="35" t="str">
        <f t="shared" si="13"/>
        <v>SI</v>
      </c>
      <c r="F21" s="35" t="str">
        <f t="shared" si="14"/>
        <v>SI</v>
      </c>
      <c r="G21" s="36">
        <f t="shared" si="15"/>
        <v>119985183</v>
      </c>
      <c r="H21" s="40"/>
      <c r="I21" s="40"/>
      <c r="J21" s="35"/>
      <c r="K21" s="40"/>
      <c r="L21" s="40"/>
      <c r="M21" s="38">
        <f t="shared" si="2"/>
        <v>119985183</v>
      </c>
      <c r="N21" s="40"/>
      <c r="O21" s="35" t="str">
        <f t="shared" si="16"/>
        <v>P</v>
      </c>
      <c r="P21" s="36">
        <f t="shared" si="3"/>
        <v>386194.1220533103</v>
      </c>
      <c r="Q21" s="35">
        <f t="shared" si="4"/>
      </c>
      <c r="R21" s="35">
        <f t="shared" si="5"/>
        <v>386194.1220533103</v>
      </c>
      <c r="S21" s="35">
        <f t="shared" si="6"/>
        <v>386194.1220533103</v>
      </c>
      <c r="T21" s="35">
        <f t="shared" si="7"/>
        <v>386194.1220533103</v>
      </c>
      <c r="U21" s="35">
        <f t="shared" si="8"/>
        <v>386194.1220533103</v>
      </c>
      <c r="V21" s="39">
        <f t="shared" si="9"/>
      </c>
      <c r="W21" s="35">
        <f t="shared" si="10"/>
      </c>
      <c r="X21" s="35">
        <f t="shared" si="11"/>
      </c>
      <c r="Y21" s="35">
        <f t="shared" si="12"/>
      </c>
    </row>
    <row r="22" spans="1:25" ht="15">
      <c r="A22" s="17">
        <v>9</v>
      </c>
      <c r="B22" s="21" t="str">
        <f t="shared" si="0"/>
        <v>FIDEL MOSQUERA</v>
      </c>
      <c r="C22" s="23">
        <f t="shared" si="1"/>
        <v>119273818</v>
      </c>
      <c r="D22" s="3" t="s">
        <v>3</v>
      </c>
      <c r="E22" s="35" t="str">
        <f t="shared" si="13"/>
        <v>SI</v>
      </c>
      <c r="F22" s="35" t="str">
        <f t="shared" si="14"/>
        <v>SI</v>
      </c>
      <c r="G22" s="36">
        <f t="shared" si="15"/>
        <v>119273818</v>
      </c>
      <c r="H22" s="40"/>
      <c r="I22" s="40"/>
      <c r="J22" s="35"/>
      <c r="K22" s="40"/>
      <c r="L22" s="40"/>
      <c r="M22" s="38">
        <f t="shared" si="2"/>
        <v>119273818</v>
      </c>
      <c r="N22" s="40"/>
      <c r="O22" s="35">
        <f t="shared" si="16"/>
        <v>119273818</v>
      </c>
      <c r="P22" s="36">
        <f t="shared" si="3"/>
        <v>325170.8779466897</v>
      </c>
      <c r="Q22" s="35">
        <f t="shared" si="4"/>
      </c>
      <c r="R22" s="35">
        <f t="shared" si="5"/>
        <v>325170.8779466897</v>
      </c>
      <c r="S22" s="35">
        <f t="shared" si="6"/>
        <v>325170.8779466897</v>
      </c>
      <c r="T22" s="35">
        <f t="shared" si="7"/>
        <v>325170.8779466897</v>
      </c>
      <c r="U22" s="35">
        <f t="shared" si="8"/>
        <v>325170.8779466897</v>
      </c>
      <c r="V22" s="39">
        <f t="shared" si="9"/>
      </c>
      <c r="W22" s="35">
        <f t="shared" si="10"/>
      </c>
      <c r="X22" s="35">
        <f t="shared" si="11"/>
      </c>
      <c r="Y22" s="35">
        <f t="shared" si="12"/>
      </c>
    </row>
    <row r="23" spans="1:25" ht="15">
      <c r="A23" s="17">
        <v>10</v>
      </c>
      <c r="B23" s="21" t="str">
        <f t="shared" si="0"/>
        <v>FRANCISCO CESAR FRANKLY</v>
      </c>
      <c r="C23" s="23">
        <f t="shared" si="1"/>
        <v>119456024</v>
      </c>
      <c r="D23" s="3" t="s">
        <v>3</v>
      </c>
      <c r="E23" s="35" t="str">
        <f t="shared" si="13"/>
        <v>SI</v>
      </c>
      <c r="F23" s="35" t="str">
        <f t="shared" si="14"/>
        <v>SI</v>
      </c>
      <c r="G23" s="36">
        <f t="shared" si="15"/>
        <v>119456024</v>
      </c>
      <c r="H23" s="40"/>
      <c r="I23" s="40"/>
      <c r="J23" s="35"/>
      <c r="K23" s="40"/>
      <c r="L23" s="40"/>
      <c r="M23" s="38">
        <f t="shared" si="2"/>
        <v>119456024</v>
      </c>
      <c r="N23" s="40"/>
      <c r="O23" s="35">
        <f t="shared" si="16"/>
        <v>119456024</v>
      </c>
      <c r="P23" s="36">
        <f t="shared" si="3"/>
        <v>142964.87794668972</v>
      </c>
      <c r="Q23" s="35">
        <f t="shared" si="4"/>
      </c>
      <c r="R23" s="35">
        <f t="shared" si="5"/>
        <v>142964.87794668972</v>
      </c>
      <c r="S23" s="35" t="str">
        <f t="shared" si="6"/>
        <v>N</v>
      </c>
      <c r="T23" s="35" t="str">
        <f t="shared" si="7"/>
        <v>N</v>
      </c>
      <c r="U23" s="35" t="str">
        <f t="shared" si="8"/>
        <v>N</v>
      </c>
      <c r="V23" s="39" t="str">
        <f t="shared" si="9"/>
        <v>2º</v>
      </c>
      <c r="W23" s="35">
        <f t="shared" si="10"/>
      </c>
      <c r="X23" s="35">
        <f t="shared" si="11"/>
      </c>
      <c r="Y23" s="35">
        <f t="shared" si="12"/>
      </c>
    </row>
    <row r="24" spans="1:25" ht="15">
      <c r="A24" s="17">
        <v>11</v>
      </c>
      <c r="B24" s="21" t="str">
        <f t="shared" si="0"/>
        <v>JESUS HERNAN ZAMBRANO</v>
      </c>
      <c r="C24" s="23">
        <f t="shared" si="1"/>
        <v>119935944</v>
      </c>
      <c r="D24" s="3" t="s">
        <v>3</v>
      </c>
      <c r="E24" s="35" t="str">
        <f t="shared" si="13"/>
        <v>SI</v>
      </c>
      <c r="F24" s="35" t="str">
        <f t="shared" si="14"/>
        <v>SI</v>
      </c>
      <c r="G24" s="36">
        <f t="shared" si="15"/>
        <v>119935944</v>
      </c>
      <c r="H24" s="40"/>
      <c r="I24" s="40"/>
      <c r="J24" s="35"/>
      <c r="K24" s="40"/>
      <c r="L24" s="40"/>
      <c r="M24" s="38">
        <f t="shared" si="2"/>
        <v>119935944</v>
      </c>
      <c r="N24" s="40"/>
      <c r="O24" s="35" t="str">
        <f t="shared" si="16"/>
        <v>P</v>
      </c>
      <c r="P24" s="36">
        <f t="shared" si="3"/>
        <v>336955.1220533103</v>
      </c>
      <c r="Q24" s="35">
        <f t="shared" si="4"/>
      </c>
      <c r="R24" s="35">
        <f t="shared" si="5"/>
        <v>336955.1220533103</v>
      </c>
      <c r="S24" s="35">
        <f t="shared" si="6"/>
        <v>336955.1220533103</v>
      </c>
      <c r="T24" s="35">
        <f t="shared" si="7"/>
        <v>336955.1220533103</v>
      </c>
      <c r="U24" s="35">
        <f t="shared" si="8"/>
        <v>336955.1220533103</v>
      </c>
      <c r="V24" s="39">
        <f t="shared" si="9"/>
      </c>
      <c r="W24" s="35">
        <f t="shared" si="10"/>
      </c>
      <c r="X24" s="35">
        <f t="shared" si="11"/>
      </c>
      <c r="Y24" s="35">
        <f t="shared" si="12"/>
      </c>
    </row>
    <row r="25" spans="1:25" ht="15">
      <c r="A25" s="17">
        <v>12</v>
      </c>
      <c r="B25" s="21" t="str">
        <f t="shared" si="0"/>
        <v>HELIO LOMBANA</v>
      </c>
      <c r="C25" s="23">
        <f t="shared" si="1"/>
        <v>120064715</v>
      </c>
      <c r="D25" s="3" t="s">
        <v>3</v>
      </c>
      <c r="E25" s="35" t="str">
        <f t="shared" si="13"/>
        <v>SI</v>
      </c>
      <c r="F25" s="35" t="str">
        <f t="shared" si="14"/>
        <v>SI</v>
      </c>
      <c r="G25" s="36">
        <f t="shared" si="15"/>
        <v>120064715</v>
      </c>
      <c r="H25" s="40"/>
      <c r="I25" s="40"/>
      <c r="J25" s="35"/>
      <c r="K25" s="40"/>
      <c r="L25" s="40"/>
      <c r="M25" s="38">
        <f t="shared" si="2"/>
        <v>120064715</v>
      </c>
      <c r="N25" s="40"/>
      <c r="O25" s="35" t="str">
        <f t="shared" si="16"/>
        <v>P</v>
      </c>
      <c r="P25" s="36">
        <f t="shared" si="3"/>
        <v>465726.1220533103</v>
      </c>
      <c r="Q25" s="35">
        <f t="shared" si="4"/>
      </c>
      <c r="R25" s="35">
        <f t="shared" si="5"/>
        <v>465726.1220533103</v>
      </c>
      <c r="S25" s="35">
        <f t="shared" si="6"/>
        <v>465726.1220533103</v>
      </c>
      <c r="T25" s="35">
        <f t="shared" si="7"/>
        <v>465726.1220533103</v>
      </c>
      <c r="U25" s="35">
        <f t="shared" si="8"/>
        <v>465726.1220533103</v>
      </c>
      <c r="V25" s="39">
        <f t="shared" si="9"/>
      </c>
      <c r="W25" s="35">
        <f t="shared" si="10"/>
      </c>
      <c r="X25" s="35">
        <f t="shared" si="11"/>
      </c>
      <c r="Y25" s="35">
        <f t="shared" si="12"/>
      </c>
    </row>
    <row r="26" spans="1:25" ht="15">
      <c r="A26" s="17">
        <v>13</v>
      </c>
      <c r="B26" s="21" t="str">
        <f t="shared" si="0"/>
        <v>HENRY ARCE ARAGON</v>
      </c>
      <c r="C26" s="23">
        <f t="shared" si="1"/>
        <v>119425107</v>
      </c>
      <c r="D26" s="3" t="s">
        <v>3</v>
      </c>
      <c r="E26" s="35" t="str">
        <f t="shared" si="13"/>
        <v>SI</v>
      </c>
      <c r="F26" s="35" t="str">
        <f t="shared" si="14"/>
        <v>SI</v>
      </c>
      <c r="G26" s="36">
        <f t="shared" si="15"/>
        <v>119425107</v>
      </c>
      <c r="H26" s="40"/>
      <c r="I26" s="40"/>
      <c r="J26" s="35"/>
      <c r="K26" s="40"/>
      <c r="L26" s="40"/>
      <c r="M26" s="38">
        <f t="shared" si="2"/>
        <v>119425107</v>
      </c>
      <c r="N26" s="40"/>
      <c r="O26" s="35">
        <f t="shared" si="16"/>
        <v>119425107</v>
      </c>
      <c r="P26" s="36">
        <f t="shared" si="3"/>
        <v>173881.87794668972</v>
      </c>
      <c r="Q26" s="35">
        <f t="shared" si="4"/>
      </c>
      <c r="R26" s="35">
        <f t="shared" si="5"/>
        <v>173881.87794668972</v>
      </c>
      <c r="S26" s="35">
        <f t="shared" si="6"/>
        <v>173881.87794668972</v>
      </c>
      <c r="T26" s="35">
        <f t="shared" si="7"/>
        <v>173881.87794668972</v>
      </c>
      <c r="U26" s="35" t="str">
        <f t="shared" si="8"/>
        <v>N</v>
      </c>
      <c r="V26" s="39">
        <f t="shared" si="9"/>
      </c>
      <c r="W26" s="35">
        <f t="shared" si="10"/>
      </c>
      <c r="X26" s="35" t="str">
        <f t="shared" si="11"/>
        <v>4º</v>
      </c>
      <c r="Y26" s="35">
        <f t="shared" si="12"/>
      </c>
    </row>
    <row r="27" spans="1:25" ht="15">
      <c r="A27" s="17">
        <v>14</v>
      </c>
      <c r="B27" s="21" t="str">
        <f t="shared" si="0"/>
        <v>CONSORCIO GENOVA</v>
      </c>
      <c r="C27" s="23">
        <f t="shared" si="1"/>
        <v>119414988</v>
      </c>
      <c r="D27" s="3" t="s">
        <v>3</v>
      </c>
      <c r="E27" s="35" t="str">
        <f t="shared" si="13"/>
        <v>SI</v>
      </c>
      <c r="F27" s="35" t="str">
        <f t="shared" si="14"/>
        <v>SI</v>
      </c>
      <c r="G27" s="36">
        <f t="shared" si="15"/>
        <v>119414988</v>
      </c>
      <c r="H27" s="40"/>
      <c r="I27" s="40"/>
      <c r="J27" s="35"/>
      <c r="K27" s="40"/>
      <c r="L27" s="40"/>
      <c r="M27" s="38">
        <f t="shared" si="2"/>
        <v>119414988</v>
      </c>
      <c r="N27" s="40"/>
      <c r="O27" s="35">
        <f t="shared" si="16"/>
        <v>119414988</v>
      </c>
      <c r="P27" s="36">
        <f t="shared" si="3"/>
        <v>184000.87794668972</v>
      </c>
      <c r="Q27" s="35">
        <f t="shared" si="4"/>
      </c>
      <c r="R27" s="35">
        <f t="shared" si="5"/>
        <v>184000.87794668972</v>
      </c>
      <c r="S27" s="35">
        <f t="shared" si="6"/>
        <v>184000.87794668972</v>
      </c>
      <c r="T27" s="35">
        <f t="shared" si="7"/>
        <v>184000.87794668972</v>
      </c>
      <c r="U27" s="35">
        <f t="shared" si="8"/>
        <v>184000.87794668972</v>
      </c>
      <c r="V27" s="39">
        <f t="shared" si="9"/>
      </c>
      <c r="W27" s="35">
        <f t="shared" si="10"/>
      </c>
      <c r="X27" s="35">
        <f t="shared" si="11"/>
      </c>
      <c r="Y27" s="35" t="str">
        <f t="shared" si="12"/>
        <v>5º</v>
      </c>
    </row>
    <row r="28" spans="1:25" ht="15">
      <c r="A28" s="17">
        <v>15</v>
      </c>
      <c r="B28" s="21" t="str">
        <f t="shared" si="0"/>
        <v>VIRGILIO GALVIS</v>
      </c>
      <c r="C28" s="23">
        <f t="shared" si="1"/>
        <v>119384464</v>
      </c>
      <c r="D28" s="3" t="s">
        <v>3</v>
      </c>
      <c r="E28" s="35" t="str">
        <f t="shared" si="13"/>
        <v>SI</v>
      </c>
      <c r="F28" s="35" t="str">
        <f t="shared" si="14"/>
        <v>SI</v>
      </c>
      <c r="G28" s="36">
        <f t="shared" si="15"/>
        <v>119384464</v>
      </c>
      <c r="H28" s="40"/>
      <c r="I28" s="40"/>
      <c r="J28" s="35"/>
      <c r="K28" s="40"/>
      <c r="L28" s="40"/>
      <c r="M28" s="38">
        <f t="shared" si="2"/>
        <v>119384464</v>
      </c>
      <c r="N28" s="40"/>
      <c r="O28" s="35">
        <f t="shared" si="16"/>
        <v>119384464</v>
      </c>
      <c r="P28" s="36">
        <f t="shared" si="3"/>
        <v>214524.87794668972</v>
      </c>
      <c r="Q28" s="35">
        <f t="shared" si="4"/>
      </c>
      <c r="R28" s="35">
        <f t="shared" si="5"/>
        <v>214524.87794668972</v>
      </c>
      <c r="S28" s="35">
        <f t="shared" si="6"/>
        <v>214524.87794668972</v>
      </c>
      <c r="T28" s="35">
        <f t="shared" si="7"/>
        <v>214524.87794668972</v>
      </c>
      <c r="U28" s="35">
        <f t="shared" si="8"/>
        <v>214524.87794668972</v>
      </c>
      <c r="V28" s="39">
        <f t="shared" si="9"/>
      </c>
      <c r="W28" s="35">
        <f t="shared" si="10"/>
      </c>
      <c r="X28" s="35">
        <f t="shared" si="11"/>
      </c>
      <c r="Y28" s="35">
        <f t="shared" si="12"/>
      </c>
    </row>
    <row r="29" spans="1:25" ht="15">
      <c r="A29" s="17">
        <v>16</v>
      </c>
      <c r="B29" s="21" t="str">
        <f t="shared" si="0"/>
        <v>DIEGO REINEL FERNANDEZ</v>
      </c>
      <c r="C29" s="23">
        <f t="shared" si="1"/>
        <v>120064716</v>
      </c>
      <c r="D29" s="3" t="s">
        <v>3</v>
      </c>
      <c r="E29" s="35" t="str">
        <f t="shared" si="13"/>
        <v>SI</v>
      </c>
      <c r="F29" s="35" t="str">
        <f t="shared" si="14"/>
        <v>SI</v>
      </c>
      <c r="G29" s="36">
        <f t="shared" si="15"/>
        <v>120064716</v>
      </c>
      <c r="H29" s="40"/>
      <c r="I29" s="40"/>
      <c r="J29" s="35"/>
      <c r="K29" s="40"/>
      <c r="L29" s="40"/>
      <c r="M29" s="38">
        <f t="shared" si="2"/>
        <v>120064716</v>
      </c>
      <c r="N29" s="40"/>
      <c r="O29" s="35" t="str">
        <f t="shared" si="16"/>
        <v>P</v>
      </c>
      <c r="P29" s="36">
        <f t="shared" si="3"/>
        <v>465727.1220533103</v>
      </c>
      <c r="Q29" s="35">
        <f t="shared" si="4"/>
      </c>
      <c r="R29" s="35">
        <f t="shared" si="5"/>
        <v>465727.1220533103</v>
      </c>
      <c r="S29" s="35">
        <f t="shared" si="6"/>
        <v>465727.1220533103</v>
      </c>
      <c r="T29" s="35">
        <f t="shared" si="7"/>
        <v>465727.1220533103</v>
      </c>
      <c r="U29" s="35">
        <f t="shared" si="8"/>
        <v>465727.1220533103</v>
      </c>
      <c r="V29" s="39">
        <f t="shared" si="9"/>
      </c>
      <c r="W29" s="35">
        <f t="shared" si="10"/>
      </c>
      <c r="X29" s="35">
        <f t="shared" si="11"/>
      </c>
      <c r="Y29" s="35">
        <f t="shared" si="12"/>
      </c>
    </row>
    <row r="30" spans="13:21" ht="15">
      <c r="M30" s="12">
        <f>COUNTIF(M14:M29,"&gt;1")</f>
        <v>16</v>
      </c>
      <c r="N30" s="4" t="s">
        <v>26</v>
      </c>
      <c r="O30" s="13">
        <f>MAX(O14:O29)</f>
        <v>119456024</v>
      </c>
      <c r="P30" s="41">
        <f>MIN(P14:P29)</f>
        <v>13370.122053310275</v>
      </c>
      <c r="R30" s="1">
        <f>MIN(R14:R29)</f>
        <v>142964.87794668972</v>
      </c>
      <c r="S30" s="1">
        <f>MIN(S14:S29)</f>
        <v>143290.12205331028</v>
      </c>
      <c r="T30" s="1">
        <f>MIN(T14:T29)</f>
        <v>173881.87794668972</v>
      </c>
      <c r="U30" s="1">
        <f>MIN(U14:U29)</f>
        <v>184000.87794668972</v>
      </c>
    </row>
    <row r="31" spans="3:15" ht="15">
      <c r="C31" s="22"/>
      <c r="D31" s="42" t="s">
        <v>3</v>
      </c>
      <c r="N31" s="4" t="s">
        <v>25</v>
      </c>
      <c r="O31" s="14">
        <f>MIN(O14:O29)</f>
        <v>118938519</v>
      </c>
    </row>
    <row r="32" ht="15">
      <c r="D32" s="42" t="s">
        <v>4</v>
      </c>
    </row>
    <row r="33" ht="15">
      <c r="D33" s="42">
        <f>COUNT(B14:B29)</f>
        <v>0</v>
      </c>
    </row>
    <row r="35" spans="2:7" ht="15">
      <c r="B35" s="73" t="s">
        <v>18</v>
      </c>
      <c r="C35" s="73"/>
      <c r="D35" s="26">
        <f>C10</f>
        <v>120485704</v>
      </c>
      <c r="E35" s="7"/>
      <c r="F35" s="7"/>
      <c r="G35" s="7"/>
    </row>
    <row r="36" spans="2:7" ht="15.75">
      <c r="B36" s="74" t="s">
        <v>19</v>
      </c>
      <c r="C36" s="74"/>
      <c r="D36" s="27">
        <f>J14</f>
        <v>119559948.5</v>
      </c>
      <c r="E36" s="8"/>
      <c r="F36" s="8"/>
      <c r="G36" s="8"/>
    </row>
    <row r="37" spans="2:7" ht="15">
      <c r="B37" s="69" t="s">
        <v>20</v>
      </c>
      <c r="C37" s="69"/>
      <c r="D37" s="27">
        <f>N14</f>
        <v>119559948.5</v>
      </c>
      <c r="E37" s="9"/>
      <c r="F37" s="9"/>
      <c r="G37" s="10"/>
    </row>
    <row r="38" spans="2:7" ht="15">
      <c r="B38" s="69" t="s">
        <v>31</v>
      </c>
      <c r="C38" s="69"/>
      <c r="D38" s="27">
        <f>O30</f>
        <v>119456024</v>
      </c>
      <c r="E38" s="9"/>
      <c r="F38" s="9"/>
      <c r="G38" s="9"/>
    </row>
    <row r="39" spans="2:9" ht="15">
      <c r="B39" s="69" t="s">
        <v>21</v>
      </c>
      <c r="C39" s="69"/>
      <c r="D39" s="27">
        <f>O31</f>
        <v>118938519</v>
      </c>
      <c r="E39" s="9"/>
      <c r="F39" s="9"/>
      <c r="G39" s="9"/>
      <c r="I39" s="6"/>
    </row>
    <row r="40" ht="15">
      <c r="I40" s="2"/>
    </row>
    <row r="41" spans="2:9" ht="15">
      <c r="B41" s="44" t="s">
        <v>22</v>
      </c>
      <c r="C41" s="11"/>
      <c r="D41" s="43">
        <f>(PRODUCT(D35:D39))^(1/5)</f>
        <v>119598988.87794669</v>
      </c>
      <c r="E41" s="11"/>
      <c r="F41" s="11"/>
      <c r="G41" s="11"/>
      <c r="I41" s="2"/>
    </row>
    <row r="45" ht="15">
      <c r="I45" s="2"/>
    </row>
    <row r="47" ht="15">
      <c r="H47">
        <v>0</v>
      </c>
    </row>
    <row r="158" ht="15">
      <c r="E158" s="1"/>
    </row>
    <row r="159" ht="15">
      <c r="E159" s="1"/>
    </row>
    <row r="160" ht="15">
      <c r="E160" s="1"/>
    </row>
    <row r="161" ht="15">
      <c r="E161" s="1"/>
    </row>
    <row r="162" ht="15">
      <c r="E162" s="1"/>
    </row>
    <row r="163" ht="15">
      <c r="E163" s="1"/>
    </row>
    <row r="164" ht="15">
      <c r="E164" s="1"/>
    </row>
    <row r="165" ht="15">
      <c r="E165" s="1"/>
    </row>
    <row r="166" ht="15">
      <c r="E166" s="1"/>
    </row>
    <row r="167" ht="15">
      <c r="E167" s="1"/>
    </row>
    <row r="168" ht="15">
      <c r="E168" s="1"/>
    </row>
    <row r="169" ht="15">
      <c r="E169" s="1"/>
    </row>
    <row r="170" ht="15">
      <c r="E170" s="1"/>
    </row>
    <row r="171" ht="15">
      <c r="E171" s="1"/>
    </row>
    <row r="172" ht="15">
      <c r="E172" s="1"/>
    </row>
    <row r="173" ht="15">
      <c r="E173" s="1"/>
    </row>
    <row r="174" ht="15">
      <c r="E174" s="1"/>
    </row>
    <row r="175" ht="15">
      <c r="E175" s="1"/>
    </row>
    <row r="176" ht="15">
      <c r="E176" s="1"/>
    </row>
    <row r="177" ht="15">
      <c r="E177" s="1"/>
    </row>
  </sheetData>
  <sheetProtection/>
  <mergeCells count="16">
    <mergeCell ref="V13:Y13"/>
    <mergeCell ref="A6:S6"/>
    <mergeCell ref="A5:Y5"/>
    <mergeCell ref="A1:Y1"/>
    <mergeCell ref="A2:Y2"/>
    <mergeCell ref="A3:Y3"/>
    <mergeCell ref="A4:Y4"/>
    <mergeCell ref="P8:Y8"/>
    <mergeCell ref="A7:Y7"/>
    <mergeCell ref="B39:C39"/>
    <mergeCell ref="K12:L12"/>
    <mergeCell ref="B9:Q9"/>
    <mergeCell ref="B35:C35"/>
    <mergeCell ref="B36:C36"/>
    <mergeCell ref="B37:C37"/>
    <mergeCell ref="B38:C38"/>
  </mergeCells>
  <dataValidations count="1">
    <dataValidation type="list" allowBlank="1" showInputMessage="1" showErrorMessage="1" sqref="E158:E177 D14:D29">
      <formula1>$D$31:$D$32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IsabelG</cp:lastModifiedBy>
  <cp:lastPrinted>2010-11-22T22:52:11Z</cp:lastPrinted>
  <dcterms:created xsi:type="dcterms:W3CDTF">2010-03-17T04:07:38Z</dcterms:created>
  <dcterms:modified xsi:type="dcterms:W3CDTF">2010-11-22T23:02:44Z</dcterms:modified>
  <cp:category/>
  <cp:version/>
  <cp:contentType/>
  <cp:contentStatus/>
</cp:coreProperties>
</file>